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pmiller\Google Drive\Wood stuff\Wood devices NSPS\Legislation\Info request items\Fact sheet and supporting docs 20181002\"/>
    </mc:Choice>
  </mc:AlternateContent>
  <xr:revisionPtr revIDLastSave="0" documentId="10_ncr:100000_{770B8E01-DFD8-44B2-9AB0-792C7C1CFACE}" xr6:coauthVersionLast="31" xr6:coauthVersionMax="31" xr10:uidLastSave="{00000000-0000-0000-0000-000000000000}"/>
  <bookViews>
    <workbookView xWindow="0" yWindow="0" windowWidth="19200" windowHeight="10770" xr2:uid="{00000000-000D-0000-FFFF-FFFF00000000}"/>
  </bookViews>
  <sheets>
    <sheet name="Est PM from 3-yr Step 2 delay" sheetId="1" r:id="rId1"/>
    <sheet name="Est health impacts 3-yr delay" sheetId="2" r:id="rId2"/>
  </sheets>
  <calcPr calcId="179017"/>
</workbook>
</file>

<file path=xl/calcChain.xml><?xml version="1.0" encoding="utf-8"?>
<calcChain xmlns="http://schemas.openxmlformats.org/spreadsheetml/2006/main">
  <c r="M10" i="2" l="1"/>
  <c r="M11" i="2"/>
  <c r="M13" i="2" l="1"/>
  <c r="F5" i="1" l="1"/>
  <c r="F2" i="1"/>
  <c r="M12" i="2"/>
  <c r="D5" i="2" l="1"/>
  <c r="A11" i="2"/>
  <c r="A10" i="2"/>
  <c r="D4" i="2"/>
  <c r="E26" i="1" l="1"/>
  <c r="R12" i="1" l="1"/>
  <c r="B38" i="1" l="1"/>
  <c r="D2" i="1"/>
  <c r="D6" i="1"/>
  <c r="D5" i="1"/>
  <c r="D4" i="1"/>
  <c r="D3" i="1"/>
  <c r="R16" i="1"/>
  <c r="R15" i="1"/>
  <c r="R14" i="1"/>
  <c r="R13" i="1"/>
  <c r="G2" i="1"/>
  <c r="H2" i="1" l="1"/>
  <c r="E27" i="1"/>
  <c r="F6" i="1"/>
  <c r="F3" i="1"/>
  <c r="F4" i="1"/>
  <c r="G5" i="1"/>
  <c r="H5" i="1" s="1"/>
  <c r="G6" i="1"/>
  <c r="H6" i="1" s="1"/>
  <c r="G3" i="1"/>
  <c r="B39" i="1" l="1"/>
  <c r="G4" i="1"/>
  <c r="H4" i="1" s="1"/>
  <c r="H3" i="1"/>
</calcChain>
</file>

<file path=xl/sharedStrings.xml><?xml version="1.0" encoding="utf-8"?>
<sst xmlns="http://schemas.openxmlformats.org/spreadsheetml/2006/main" count="85" uniqueCount="56">
  <si>
    <t>Wood Stoves</t>
  </si>
  <si>
    <t>Single Burn rate stoves</t>
  </si>
  <si>
    <t>Pellet Stoves</t>
  </si>
  <si>
    <t>Wood Furnace</t>
  </si>
  <si>
    <t>Hydronic Heaters</t>
  </si>
  <si>
    <t>Step 1 rate (tons/appl) weighted avg</t>
  </si>
  <si>
    <t>Step 2 rate (tons/appl) weighted avg</t>
  </si>
  <si>
    <t>2020-2022</t>
  </si>
  <si>
    <t>(Step 1 - Step 2) difference (tons/appl)</t>
  </si>
  <si>
    <t>years</t>
  </si>
  <si>
    <t>Total excess emissions across all device types</t>
  </si>
  <si>
    <t>Excess emissions 3-yr delay, 20 yr life (tons)</t>
  </si>
  <si>
    <t>tons</t>
  </si>
  <si>
    <t>Total excess PM 3-yr delay, all device types</t>
  </si>
  <si>
    <t>% excess PM  emissions relative to NSPS levels in 2023*</t>
  </si>
  <si>
    <t>State</t>
  </si>
  <si>
    <t>California</t>
  </si>
  <si>
    <t>Colorado</t>
  </si>
  <si>
    <t>West Virginia</t>
  </si>
  <si>
    <t>New York</t>
  </si>
  <si>
    <t>Wisconsin</t>
  </si>
  <si>
    <t>Idaho</t>
  </si>
  <si>
    <t>Utah</t>
  </si>
  <si>
    <t>Assumed appliance in-use lifespan:</t>
  </si>
  <si>
    <t>Total</t>
  </si>
  <si>
    <t>Comparison to excess PM2.5 from 3-yr delay</t>
  </si>
  <si>
    <t>2014 summed state-level annual residential wood combustion (RWC) PM2.5 emissions from EPA National Emission Inventory (NEI) 2014) for selected states</t>
  </si>
  <si>
    <t>For # of appliances sold during a 3-yr NSPS Step 2 delay, we're assuming the 3-yr annual average for years 2020-2022, as calculated in yellow hi-lited cells above.</t>
  </si>
  <si>
    <t>Avg annual excess PM (tons)</t>
  </si>
  <si>
    <t>3-yr delay excess PM, assumed 20 yr appliance in-use lifespan:</t>
  </si>
  <si>
    <t>For context, below is a comparison of the summed annual emissions in 2014 for several states relative to the emissions from a 3-yr delay of Step 2 occurring over the 20-yr assumed device in-use lifespan.</t>
  </si>
  <si>
    <t>Appliance (appl) type</t>
  </si>
  <si>
    <t>Avg. annual excess emissions</t>
  </si>
  <si>
    <t>3-yr avg sales by appliance type</t>
  </si>
  <si>
    <t>Krewski</t>
  </si>
  <si>
    <t>million/yr 3% DR</t>
  </si>
  <si>
    <t>Lepeule</t>
  </si>
  <si>
    <t>RIA annual reductions and avoided deaths</t>
  </si>
  <si>
    <t>3-yr delay costs scaled to RIA</t>
  </si>
  <si>
    <t>tons/yr</t>
  </si>
  <si>
    <t>avoided deaths/yr</t>
  </si>
  <si>
    <t>Info source for Step rates: Memo to EPA from EC/R Inc., Estimated Emissions from Residential Wood Heaters, Jan. 30, 2015, EPA-HQ-OAR-2009-0734-1760 (Table 3) (hereinafter "EC/R memo")</t>
  </si>
  <si>
    <t>*2023 PM emissions from EC/R memo, Table 6</t>
  </si>
  <si>
    <t>Estimated annual shipped sales (Table 4, EC/R memo)</t>
  </si>
  <si>
    <t>From EC/R memo, pp. 9-10.  We are using the in-use lifespan of an appliance, not the model design lifespan.</t>
  </si>
  <si>
    <t>Krewski et al. (2009)</t>
  </si>
  <si>
    <t>Lepeule et al. (2012)</t>
  </si>
  <si>
    <t>From RIA Table 7-2</t>
  </si>
  <si>
    <t>From RIA Table 7-3</t>
  </si>
  <si>
    <t>NESCAUM estimate based on EC/R memo to EPA</t>
  </si>
  <si>
    <t>Scaled to RIA reported value</t>
  </si>
  <si>
    <t>Source</t>
  </si>
  <si>
    <t>additional deaths/yr</t>
  </si>
  <si>
    <t>3-year delay scaled health impacts based on "Regulatory Impact Analysis (RIA) for Residential Wood Heaters NSPS Revision," Final Report, EPA-452/R-15-001 (Feb. 2015); Tables 7-2 and 7-3.</t>
  </si>
  <si>
    <t>Monetized Health Benefit $/ton (2013$ at 3%  Discount Rate (DR)) from RIA Table 7-2, direct PM2.5 only.</t>
  </si>
  <si>
    <t>tons/yr excess direct PM2.5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</si>
</sst>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3" fontId="0" fillId="0" borderId="10" xfId="0" applyNumberFormat="1" applyBorder="1"/>
    <xf numFmtId="3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42" applyNumberFormat="1" applyFont="1"/>
    <xf numFmtId="0" fontId="0" fillId="33" borderId="13" xfId="0" applyFill="1" applyBorder="1"/>
    <xf numFmtId="3" fontId="0" fillId="33" borderId="11" xfId="0" applyNumberFormat="1" applyFill="1" applyBorder="1"/>
    <xf numFmtId="3" fontId="0" fillId="33" borderId="10" xfId="0" applyNumberFormat="1" applyFill="1" applyBorder="1"/>
    <xf numFmtId="0" fontId="0" fillId="0" borderId="15" xfId="0" applyBorder="1"/>
    <xf numFmtId="3" fontId="0" fillId="0" borderId="16" xfId="0" applyNumberFormat="1" applyBorder="1"/>
    <xf numFmtId="3" fontId="0" fillId="0" borderId="17" xfId="0" applyNumberFormat="1" applyBorder="1"/>
    <xf numFmtId="165" fontId="0" fillId="33" borderId="10" xfId="42" applyNumberFormat="1" applyFont="1" applyFill="1" applyBorder="1"/>
    <xf numFmtId="165" fontId="0" fillId="33" borderId="11" xfId="42" applyNumberFormat="1" applyFont="1" applyFill="1" applyBorder="1"/>
    <xf numFmtId="0" fontId="0" fillId="33" borderId="14" xfId="0" applyFill="1" applyBorder="1" applyAlignment="1">
      <alignment horizontal="right"/>
    </xf>
    <xf numFmtId="0" fontId="16" fillId="0" borderId="0" xfId="0" applyFont="1"/>
    <xf numFmtId="0" fontId="18" fillId="0" borderId="0" xfId="0" applyFont="1"/>
    <xf numFmtId="0" fontId="0" fillId="0" borderId="0" xfId="0" applyFont="1"/>
    <xf numFmtId="165" fontId="0" fillId="0" borderId="0" xfId="0" applyNumberFormat="1"/>
    <xf numFmtId="165" fontId="16" fillId="0" borderId="0" xfId="0" applyNumberFormat="1" applyFont="1"/>
    <xf numFmtId="9" fontId="0" fillId="0" borderId="0" xfId="43" applyFont="1"/>
    <xf numFmtId="0" fontId="0" fillId="0" borderId="0" xfId="0" applyFont="1" applyAlignment="1">
      <alignment wrapText="1"/>
    </xf>
    <xf numFmtId="166" fontId="0" fillId="0" borderId="0" xfId="44" applyNumberFormat="1" applyFont="1"/>
    <xf numFmtId="0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Fill="1" applyBorder="1"/>
    <xf numFmtId="0" fontId="0" fillId="0" borderId="0" xfId="0" applyFill="1" applyBorder="1"/>
    <xf numFmtId="0" fontId="0" fillId="0" borderId="0" xfId="0" applyBorder="1"/>
    <xf numFmtId="0" fontId="0" fillId="0" borderId="22" xfId="0" applyBorder="1"/>
    <xf numFmtId="1" fontId="0" fillId="0" borderId="21" xfId="0" applyNumberFormat="1" applyFill="1" applyBorder="1"/>
    <xf numFmtId="167" fontId="0" fillId="0" borderId="21" xfId="0" applyNumberFormat="1" applyFill="1" applyBorder="1"/>
    <xf numFmtId="167" fontId="0" fillId="0" borderId="16" xfId="0" applyNumberFormat="1" applyFill="1" applyBorder="1"/>
    <xf numFmtId="0" fontId="0" fillId="0" borderId="23" xfId="0" applyFill="1" applyBorder="1"/>
    <xf numFmtId="0" fontId="0" fillId="0" borderId="23" xfId="0" applyBorder="1"/>
    <xf numFmtId="0" fontId="0" fillId="0" borderId="24" xfId="0" applyBorder="1"/>
    <xf numFmtId="166" fontId="0" fillId="0" borderId="18" xfId="44" applyNumberFormat="1" applyFont="1" applyFill="1" applyBorder="1"/>
    <xf numFmtId="166" fontId="0" fillId="0" borderId="20" xfId="44" applyNumberFormat="1" applyFont="1" applyFill="1" applyBorder="1"/>
    <xf numFmtId="1" fontId="0" fillId="0" borderId="21" xfId="44" applyNumberFormat="1" applyFont="1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24" xfId="0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G5" sqref="G5"/>
    </sheetView>
  </sheetViews>
  <sheetFormatPr defaultRowHeight="15" x14ac:dyDescent="0.25"/>
  <cols>
    <col min="1" max="1" width="23.42578125" customWidth="1"/>
    <col min="2" max="8" width="11.7109375" customWidth="1"/>
    <col min="18" max="18" width="12.5703125" bestFit="1" customWidth="1"/>
  </cols>
  <sheetData>
    <row r="1" spans="1:18" ht="90" x14ac:dyDescent="0.25">
      <c r="A1" t="s">
        <v>31</v>
      </c>
      <c r="B1" s="7" t="s">
        <v>5</v>
      </c>
      <c r="C1" s="7" t="s">
        <v>6</v>
      </c>
      <c r="D1" s="7" t="s">
        <v>8</v>
      </c>
      <c r="E1" s="7"/>
      <c r="F1" s="7" t="s">
        <v>11</v>
      </c>
      <c r="G1" s="7" t="s">
        <v>28</v>
      </c>
      <c r="H1" s="7" t="s">
        <v>14</v>
      </c>
    </row>
    <row r="2" spans="1:18" x14ac:dyDescent="0.25">
      <c r="A2" t="s">
        <v>0</v>
      </c>
      <c r="B2" s="8">
        <v>6.0000000000000001E-3</v>
      </c>
      <c r="C2" s="8">
        <v>3.3999999999999998E-3</v>
      </c>
      <c r="D2" s="8">
        <f>B2-C2</f>
        <v>2.6000000000000003E-3</v>
      </c>
      <c r="E2" s="22"/>
      <c r="F2" s="22">
        <f>D2*$A$19*R12</f>
        <v>5519.0026666666672</v>
      </c>
      <c r="G2" s="22">
        <f>F2/20</f>
        <v>275.95013333333338</v>
      </c>
      <c r="H2" s="24">
        <f>G2/275</f>
        <v>1.0034550303030305</v>
      </c>
    </row>
    <row r="3" spans="1:18" x14ac:dyDescent="0.25">
      <c r="A3" t="s">
        <v>1</v>
      </c>
      <c r="B3" s="8">
        <v>9.2999999999999992E-3</v>
      </c>
      <c r="C3" s="8">
        <v>4.1000000000000003E-3</v>
      </c>
      <c r="D3" s="8">
        <f t="shared" ref="D3:D6" si="0">B3-C3</f>
        <v>5.1999999999999989E-3</v>
      </c>
      <c r="E3" s="22"/>
      <c r="F3" s="22">
        <f>D3*$A$19*R13</f>
        <v>3173.3866666666659</v>
      </c>
      <c r="G3" s="22">
        <f t="shared" ref="G3:G6" si="1">F3/20</f>
        <v>158.6693333333333</v>
      </c>
      <c r="H3" s="24">
        <f>G3/131</f>
        <v>1.2112162849872772</v>
      </c>
    </row>
    <row r="4" spans="1:18" x14ac:dyDescent="0.25">
      <c r="A4" t="s">
        <v>2</v>
      </c>
      <c r="B4" s="8">
        <v>2.0999999999999999E-3</v>
      </c>
      <c r="C4" s="8">
        <v>8.9999999999999998E-4</v>
      </c>
      <c r="D4" s="8">
        <f t="shared" si="0"/>
        <v>1.1999999999999999E-3</v>
      </c>
      <c r="E4" s="22"/>
      <c r="F4" s="22">
        <f>D4*$A$19*R14</f>
        <v>2387.0159999999996</v>
      </c>
      <c r="G4" s="22">
        <f t="shared" si="1"/>
        <v>119.35079999999998</v>
      </c>
      <c r="H4" s="24">
        <f>G4/29</f>
        <v>4.1155448275862065</v>
      </c>
    </row>
    <row r="5" spans="1:18" x14ac:dyDescent="0.25">
      <c r="A5" t="s">
        <v>3</v>
      </c>
      <c r="B5" s="8">
        <v>5.9799999999999999E-2</v>
      </c>
      <c r="C5" s="8">
        <v>7.4999999999999997E-3</v>
      </c>
      <c r="D5" s="8">
        <f t="shared" si="0"/>
        <v>5.2299999999999999E-2</v>
      </c>
      <c r="E5" s="22"/>
      <c r="F5" s="22">
        <f>D5*$A$19*R15</f>
        <v>32715.044666666668</v>
      </c>
      <c r="G5" s="22">
        <f t="shared" si="1"/>
        <v>1635.7522333333334</v>
      </c>
      <c r="H5" s="24">
        <f>G5/243</f>
        <v>6.7314906721536349</v>
      </c>
    </row>
    <row r="6" spans="1:18" x14ac:dyDescent="0.25">
      <c r="A6" t="s">
        <v>4</v>
      </c>
      <c r="B6" s="8">
        <v>3.2099999999999997E-2</v>
      </c>
      <c r="C6" s="8">
        <v>0.01</v>
      </c>
      <c r="D6" s="8">
        <f t="shared" si="0"/>
        <v>2.2099999999999995E-2</v>
      </c>
      <c r="E6" s="22"/>
      <c r="F6" s="22">
        <f>D6*$A$19*R16</f>
        <v>6920.8359999999984</v>
      </c>
      <c r="G6" s="22">
        <f t="shared" si="1"/>
        <v>346.04179999999991</v>
      </c>
      <c r="H6" s="24">
        <f>G6/134</f>
        <v>2.5824014925373127</v>
      </c>
    </row>
    <row r="7" spans="1:18" x14ac:dyDescent="0.25">
      <c r="A7" s="19" t="s">
        <v>41</v>
      </c>
      <c r="B7" s="8"/>
      <c r="C7" s="8"/>
    </row>
    <row r="8" spans="1:18" x14ac:dyDescent="0.25">
      <c r="A8" s="19" t="s">
        <v>42</v>
      </c>
    </row>
    <row r="10" spans="1:18" ht="15.75" thickBot="1" x14ac:dyDescent="0.3">
      <c r="A10" s="19" t="s">
        <v>43</v>
      </c>
      <c r="R10" t="s">
        <v>33</v>
      </c>
    </row>
    <row r="11" spans="1:18" ht="15.75" thickBot="1" x14ac:dyDescent="0.3">
      <c r="A11" s="5"/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2014</v>
      </c>
      <c r="I11" s="6">
        <v>2015</v>
      </c>
      <c r="J11" s="6">
        <v>2016</v>
      </c>
      <c r="K11" s="6">
        <v>2017</v>
      </c>
      <c r="L11" s="6">
        <v>2018</v>
      </c>
      <c r="M11" s="6">
        <v>2019</v>
      </c>
      <c r="N11" s="10">
        <v>2020</v>
      </c>
      <c r="O11" s="10">
        <v>2021</v>
      </c>
      <c r="P11" s="10">
        <v>2022</v>
      </c>
      <c r="Q11" s="13">
        <v>2023</v>
      </c>
      <c r="R11" s="18" t="s">
        <v>7</v>
      </c>
    </row>
    <row r="12" spans="1:18" x14ac:dyDescent="0.25">
      <c r="A12" s="4" t="s">
        <v>0</v>
      </c>
      <c r="B12" s="2">
        <v>126527</v>
      </c>
      <c r="C12" s="2">
        <v>80851</v>
      </c>
      <c r="D12" s="2">
        <v>77617</v>
      </c>
      <c r="E12" s="2">
        <v>79169</v>
      </c>
      <c r="F12" s="2">
        <v>80752</v>
      </c>
      <c r="G12" s="2">
        <v>82367</v>
      </c>
      <c r="H12" s="2">
        <v>84015</v>
      </c>
      <c r="I12" s="2">
        <v>85695</v>
      </c>
      <c r="J12" s="2">
        <v>87409</v>
      </c>
      <c r="K12" s="2">
        <v>89157</v>
      </c>
      <c r="L12" s="2">
        <v>100000</v>
      </c>
      <c r="M12" s="2">
        <v>102000</v>
      </c>
      <c r="N12" s="11">
        <v>104040</v>
      </c>
      <c r="O12" s="11">
        <v>106121</v>
      </c>
      <c r="P12" s="11">
        <v>108243</v>
      </c>
      <c r="Q12" s="14">
        <v>110408</v>
      </c>
      <c r="R12" s="17">
        <f>SUM(N12:P12)/3</f>
        <v>106134.66666666667</v>
      </c>
    </row>
    <row r="13" spans="1:18" x14ac:dyDescent="0.25">
      <c r="A13" s="3" t="s">
        <v>1</v>
      </c>
      <c r="B13" s="1">
        <v>40000</v>
      </c>
      <c r="C13" s="1">
        <v>25560</v>
      </c>
      <c r="D13" s="1">
        <v>24538</v>
      </c>
      <c r="E13" s="1">
        <v>25028</v>
      </c>
      <c r="F13" s="1">
        <v>25529</v>
      </c>
      <c r="G13" s="1">
        <v>26039</v>
      </c>
      <c r="H13" s="1">
        <v>26560</v>
      </c>
      <c r="I13" s="1">
        <v>27091</v>
      </c>
      <c r="J13" s="1">
        <v>27633</v>
      </c>
      <c r="K13" s="1">
        <v>28186</v>
      </c>
      <c r="L13" s="1">
        <v>28750</v>
      </c>
      <c r="M13" s="1">
        <v>29325</v>
      </c>
      <c r="N13" s="12">
        <v>29911</v>
      </c>
      <c r="O13" s="12">
        <v>30509</v>
      </c>
      <c r="P13" s="12">
        <v>31120</v>
      </c>
      <c r="Q13" s="15">
        <v>31742</v>
      </c>
      <c r="R13" s="16">
        <f t="shared" ref="R13:R16" si="2">SUM(N13:P13)/3</f>
        <v>30513.333333333332</v>
      </c>
    </row>
    <row r="14" spans="1:18" x14ac:dyDescent="0.25">
      <c r="A14" s="3" t="s">
        <v>2</v>
      </c>
      <c r="B14" s="1">
        <v>130381</v>
      </c>
      <c r="C14" s="1">
        <v>83313</v>
      </c>
      <c r="D14" s="1">
        <v>79981</v>
      </c>
      <c r="E14" s="1">
        <v>81581</v>
      </c>
      <c r="F14" s="1">
        <v>83212</v>
      </c>
      <c r="G14" s="1">
        <v>84876</v>
      </c>
      <c r="H14" s="1">
        <v>86574</v>
      </c>
      <c r="I14" s="1">
        <v>88305</v>
      </c>
      <c r="J14" s="1">
        <v>90072</v>
      </c>
      <c r="K14" s="1">
        <v>91873</v>
      </c>
      <c r="L14" s="1">
        <v>93710</v>
      </c>
      <c r="M14" s="1">
        <v>95585</v>
      </c>
      <c r="N14" s="12">
        <v>97496</v>
      </c>
      <c r="O14" s="12">
        <v>99446</v>
      </c>
      <c r="P14" s="12">
        <v>101435</v>
      </c>
      <c r="Q14" s="15">
        <v>103464</v>
      </c>
      <c r="R14" s="16">
        <f t="shared" si="2"/>
        <v>99459</v>
      </c>
    </row>
    <row r="15" spans="1:18" x14ac:dyDescent="0.25">
      <c r="A15" s="3" t="s">
        <v>3</v>
      </c>
      <c r="B15" s="1">
        <v>41000</v>
      </c>
      <c r="C15" s="1">
        <v>26199</v>
      </c>
      <c r="D15" s="1">
        <v>25151</v>
      </c>
      <c r="E15" s="1">
        <v>25654</v>
      </c>
      <c r="F15" s="1">
        <v>26167</v>
      </c>
      <c r="G15" s="1">
        <v>26690</v>
      </c>
      <c r="H15" s="1">
        <v>27224</v>
      </c>
      <c r="I15" s="1">
        <v>27769</v>
      </c>
      <c r="J15" s="1">
        <v>28324</v>
      </c>
      <c r="K15" s="1">
        <v>28891</v>
      </c>
      <c r="L15" s="1">
        <v>29468</v>
      </c>
      <c r="M15" s="1">
        <v>30058</v>
      </c>
      <c r="N15" s="12">
        <v>30659</v>
      </c>
      <c r="O15" s="12">
        <v>31272</v>
      </c>
      <c r="P15" s="12">
        <v>31898</v>
      </c>
      <c r="Q15" s="15">
        <v>32536</v>
      </c>
      <c r="R15" s="16">
        <f t="shared" si="2"/>
        <v>31276.333333333332</v>
      </c>
    </row>
    <row r="16" spans="1:18" x14ac:dyDescent="0.25">
      <c r="A16" s="3" t="s">
        <v>4</v>
      </c>
      <c r="B16" s="1">
        <v>13385</v>
      </c>
      <c r="C16" s="1">
        <v>8553</v>
      </c>
      <c r="D16" s="1">
        <v>8211</v>
      </c>
      <c r="E16" s="1">
        <v>8375</v>
      </c>
      <c r="F16" s="1">
        <v>13100</v>
      </c>
      <c r="G16" s="1">
        <v>13362</v>
      </c>
      <c r="H16" s="1">
        <v>13629</v>
      </c>
      <c r="I16" s="1">
        <v>13902</v>
      </c>
      <c r="J16" s="1">
        <v>14180</v>
      </c>
      <c r="K16" s="1">
        <v>14463</v>
      </c>
      <c r="L16" s="1">
        <v>14753</v>
      </c>
      <c r="M16" s="1">
        <v>15048</v>
      </c>
      <c r="N16" s="12">
        <v>15349</v>
      </c>
      <c r="O16" s="12">
        <v>15656</v>
      </c>
      <c r="P16" s="12">
        <v>15969</v>
      </c>
      <c r="Q16" s="15">
        <v>16288</v>
      </c>
      <c r="R16" s="16">
        <f t="shared" si="2"/>
        <v>15658</v>
      </c>
    </row>
    <row r="18" spans="1:6" x14ac:dyDescent="0.25">
      <c r="A18" t="s">
        <v>23</v>
      </c>
    </row>
    <row r="19" spans="1:6" x14ac:dyDescent="0.25">
      <c r="A19">
        <v>20</v>
      </c>
      <c r="B19" t="s">
        <v>9</v>
      </c>
    </row>
    <row r="20" spans="1:6" x14ac:dyDescent="0.25">
      <c r="A20" s="19" t="s">
        <v>44</v>
      </c>
    </row>
    <row r="21" spans="1:6" x14ac:dyDescent="0.25">
      <c r="A21" s="19"/>
    </row>
    <row r="22" spans="1:6" x14ac:dyDescent="0.25">
      <c r="A22" s="21" t="s">
        <v>27</v>
      </c>
    </row>
    <row r="23" spans="1:6" x14ac:dyDescent="0.25">
      <c r="A23" s="19"/>
    </row>
    <row r="24" spans="1:6" x14ac:dyDescent="0.25">
      <c r="A24" s="19"/>
    </row>
    <row r="25" spans="1:6" x14ac:dyDescent="0.25">
      <c r="A25" s="20" t="s">
        <v>10</v>
      </c>
      <c r="E25" s="20" t="s">
        <v>13</v>
      </c>
    </row>
    <row r="26" spans="1:6" x14ac:dyDescent="0.25">
      <c r="A26" s="19" t="s">
        <v>29</v>
      </c>
      <c r="B26" s="19"/>
      <c r="C26" s="19"/>
      <c r="D26" s="19"/>
      <c r="E26" s="23">
        <f>SUM(F2:F6)</f>
        <v>50715.285999999993</v>
      </c>
      <c r="F26" s="19" t="s">
        <v>12</v>
      </c>
    </row>
    <row r="27" spans="1:6" x14ac:dyDescent="0.25">
      <c r="A27" s="19" t="s">
        <v>32</v>
      </c>
      <c r="B27" s="19"/>
      <c r="C27" s="19"/>
      <c r="D27" s="19"/>
      <c r="E27" s="23">
        <f>SUM(G2:G6)</f>
        <v>2535.7642999999998</v>
      </c>
      <c r="F27" s="19" t="s">
        <v>12</v>
      </c>
    </row>
    <row r="29" spans="1:6" x14ac:dyDescent="0.25">
      <c r="A29" s="19" t="s">
        <v>30</v>
      </c>
    </row>
    <row r="30" spans="1:6" x14ac:dyDescent="0.25">
      <c r="A30" s="19" t="s">
        <v>15</v>
      </c>
      <c r="B30" t="s">
        <v>26</v>
      </c>
    </row>
    <row r="31" spans="1:6" x14ac:dyDescent="0.25">
      <c r="A31" s="21" t="s">
        <v>16</v>
      </c>
      <c r="B31" s="9">
        <v>6830</v>
      </c>
      <c r="C31" t="s">
        <v>12</v>
      </c>
    </row>
    <row r="32" spans="1:6" x14ac:dyDescent="0.25">
      <c r="A32" s="21" t="s">
        <v>17</v>
      </c>
      <c r="B32" s="9">
        <v>3530</v>
      </c>
      <c r="C32" t="s">
        <v>12</v>
      </c>
    </row>
    <row r="33" spans="1:3" x14ac:dyDescent="0.25">
      <c r="A33" s="21" t="s">
        <v>21</v>
      </c>
      <c r="B33" s="9">
        <v>1980</v>
      </c>
      <c r="C33" t="s">
        <v>12</v>
      </c>
    </row>
    <row r="34" spans="1:3" x14ac:dyDescent="0.25">
      <c r="A34" s="21" t="s">
        <v>19</v>
      </c>
      <c r="B34" s="9">
        <v>19870</v>
      </c>
      <c r="C34" t="s">
        <v>12</v>
      </c>
    </row>
    <row r="35" spans="1:3" x14ac:dyDescent="0.25">
      <c r="A35" s="21" t="s">
        <v>22</v>
      </c>
      <c r="B35" s="9">
        <v>1560</v>
      </c>
      <c r="C35" t="s">
        <v>12</v>
      </c>
    </row>
    <row r="36" spans="1:3" x14ac:dyDescent="0.25">
      <c r="A36" s="21" t="s">
        <v>18</v>
      </c>
      <c r="B36" s="9">
        <v>3190</v>
      </c>
      <c r="C36" t="s">
        <v>12</v>
      </c>
    </row>
    <row r="37" spans="1:3" x14ac:dyDescent="0.25">
      <c r="A37" s="21" t="s">
        <v>20</v>
      </c>
      <c r="B37" s="9">
        <v>13500</v>
      </c>
      <c r="C37" t="s">
        <v>12</v>
      </c>
    </row>
    <row r="38" spans="1:3" x14ac:dyDescent="0.25">
      <c r="A38" s="21" t="s">
        <v>24</v>
      </c>
      <c r="B38" s="22">
        <f>SUM(B31:B37)</f>
        <v>50460</v>
      </c>
      <c r="C38" t="s">
        <v>12</v>
      </c>
    </row>
    <row r="39" spans="1:3" ht="30" x14ac:dyDescent="0.25">
      <c r="A39" s="25" t="s">
        <v>25</v>
      </c>
      <c r="B39" s="9">
        <f>E26</f>
        <v>50715.285999999993</v>
      </c>
      <c r="C39" t="s">
        <v>12</v>
      </c>
    </row>
    <row r="40" spans="1:3" x14ac:dyDescent="0.25">
      <c r="B40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A3AD-DF0D-4667-B8CD-A5049BAA42A4}">
  <dimension ref="A1:U18"/>
  <sheetViews>
    <sheetView workbookViewId="0">
      <selection activeCell="M11" sqref="M11"/>
    </sheetView>
  </sheetViews>
  <sheetFormatPr defaultRowHeight="15" x14ac:dyDescent="0.25"/>
  <cols>
    <col min="1" max="1" width="11.5703125" customWidth="1"/>
    <col min="3" max="3" width="12.42578125" customWidth="1"/>
    <col min="15" max="15" width="15.7109375" customWidth="1"/>
    <col min="16" max="16" width="12.5703125" customWidth="1"/>
  </cols>
  <sheetData>
    <row r="1" spans="1:21" x14ac:dyDescent="0.25">
      <c r="A1" t="s">
        <v>53</v>
      </c>
    </row>
    <row r="3" spans="1:21" x14ac:dyDescent="0.25">
      <c r="A3" t="s">
        <v>54</v>
      </c>
    </row>
    <row r="4" spans="1:21" x14ac:dyDescent="0.25">
      <c r="A4" s="26">
        <v>410000</v>
      </c>
      <c r="B4" t="s">
        <v>45</v>
      </c>
      <c r="D4" s="26">
        <f>ROUND($A$9*A4/1000000,-2)</f>
        <v>3400</v>
      </c>
      <c r="E4" s="27" t="s">
        <v>35</v>
      </c>
    </row>
    <row r="5" spans="1:21" x14ac:dyDescent="0.25">
      <c r="A5" s="26">
        <v>920000</v>
      </c>
      <c r="B5" t="s">
        <v>46</v>
      </c>
      <c r="D5" s="26">
        <f>ROUND($A$9*A5/1000000,-2)</f>
        <v>7600</v>
      </c>
      <c r="E5" t="s">
        <v>35</v>
      </c>
    </row>
    <row r="6" spans="1:21" x14ac:dyDescent="0.25">
      <c r="A6" s="26"/>
    </row>
    <row r="7" spans="1:21" x14ac:dyDescent="0.25">
      <c r="A7" s="26"/>
    </row>
    <row r="8" spans="1:21" x14ac:dyDescent="0.25">
      <c r="A8" s="45" t="s">
        <v>37</v>
      </c>
      <c r="B8" s="32"/>
      <c r="C8" s="32"/>
      <c r="D8" s="32"/>
      <c r="E8" s="32" t="s">
        <v>51</v>
      </c>
      <c r="F8" s="46"/>
      <c r="G8" s="30"/>
      <c r="H8" s="30"/>
      <c r="I8" s="30"/>
      <c r="J8" s="30"/>
      <c r="K8" s="30"/>
      <c r="L8" s="30"/>
      <c r="M8" s="31" t="s">
        <v>38</v>
      </c>
      <c r="N8" s="32"/>
      <c r="O8" s="32"/>
      <c r="P8" s="32"/>
      <c r="Q8" s="33" t="s">
        <v>51</v>
      </c>
      <c r="R8" s="33"/>
      <c r="S8" s="33"/>
      <c r="T8" s="33"/>
      <c r="U8" s="34"/>
    </row>
    <row r="9" spans="1:21" x14ac:dyDescent="0.25">
      <c r="A9" s="47">
        <v>8269</v>
      </c>
      <c r="B9" s="36" t="s">
        <v>39</v>
      </c>
      <c r="C9" s="36"/>
      <c r="D9" s="36"/>
      <c r="E9" s="36" t="s">
        <v>47</v>
      </c>
      <c r="F9" s="48"/>
      <c r="G9" s="30"/>
      <c r="H9" s="30"/>
      <c r="I9" s="30"/>
      <c r="J9" s="30"/>
      <c r="K9" s="30"/>
      <c r="L9" s="30"/>
      <c r="M9" s="35">
        <v>2536</v>
      </c>
      <c r="N9" s="36" t="s">
        <v>55</v>
      </c>
      <c r="O9" s="36"/>
      <c r="P9" s="36"/>
      <c r="Q9" s="37" t="s">
        <v>49</v>
      </c>
      <c r="R9" s="37"/>
      <c r="S9" s="37"/>
      <c r="T9" s="37"/>
      <c r="U9" s="38"/>
    </row>
    <row r="10" spans="1:21" x14ac:dyDescent="0.25">
      <c r="A10" s="35">
        <f>360</f>
        <v>360</v>
      </c>
      <c r="B10" s="36" t="s">
        <v>40</v>
      </c>
      <c r="C10" s="36"/>
      <c r="D10" s="36" t="s">
        <v>34</v>
      </c>
      <c r="E10" s="36" t="s">
        <v>48</v>
      </c>
      <c r="F10" s="48"/>
      <c r="G10" s="30"/>
      <c r="H10" s="30"/>
      <c r="I10" s="30"/>
      <c r="J10" s="30"/>
      <c r="K10" s="30"/>
      <c r="L10" s="30"/>
      <c r="M10" s="39">
        <f>ROUND(($M$9/$A$9)*A10,-1)</f>
        <v>110</v>
      </c>
      <c r="N10" s="36" t="s">
        <v>52</v>
      </c>
      <c r="O10" s="36"/>
      <c r="P10" s="36" t="s">
        <v>34</v>
      </c>
      <c r="Q10" s="37" t="s">
        <v>50</v>
      </c>
      <c r="R10" s="37"/>
      <c r="S10" s="37"/>
      <c r="T10" s="37"/>
      <c r="U10" s="38"/>
    </row>
    <row r="11" spans="1:21" x14ac:dyDescent="0.25">
      <c r="A11" s="49">
        <f>810</f>
        <v>810</v>
      </c>
      <c r="B11" s="42" t="s">
        <v>40</v>
      </c>
      <c r="C11" s="42"/>
      <c r="D11" s="42" t="s">
        <v>36</v>
      </c>
      <c r="E11" s="42" t="s">
        <v>48</v>
      </c>
      <c r="F11" s="50"/>
      <c r="G11" s="30"/>
      <c r="H11" s="30"/>
      <c r="I11" s="30"/>
      <c r="J11" s="30"/>
      <c r="K11" s="30"/>
      <c r="L11" s="30"/>
      <c r="M11" s="39">
        <f>ROUND(($M$9/$A$9)*A11,-1)</f>
        <v>250</v>
      </c>
      <c r="N11" s="36" t="s">
        <v>52</v>
      </c>
      <c r="O11" s="36"/>
      <c r="P11" s="36" t="s">
        <v>36</v>
      </c>
      <c r="Q11" s="37" t="s">
        <v>50</v>
      </c>
      <c r="R11" s="37"/>
      <c r="S11" s="37"/>
      <c r="T11" s="37"/>
      <c r="U11" s="38"/>
    </row>
    <row r="12" spans="1:2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40">
        <f>ROUND(($M$9/$A$9)*D4,-2)</f>
        <v>1000</v>
      </c>
      <c r="N12" s="36" t="s">
        <v>35</v>
      </c>
      <c r="O12" s="36"/>
      <c r="P12" s="36" t="s">
        <v>34</v>
      </c>
      <c r="Q12" s="37" t="s">
        <v>50</v>
      </c>
      <c r="R12" s="37"/>
      <c r="S12" s="37"/>
      <c r="T12" s="37"/>
      <c r="U12" s="38"/>
    </row>
    <row r="13" spans="1:2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41">
        <f>ROUND(($M$9/$A$9)*D5,-2)</f>
        <v>2300</v>
      </c>
      <c r="N13" s="42" t="s">
        <v>35</v>
      </c>
      <c r="O13" s="42"/>
      <c r="P13" s="42" t="s">
        <v>36</v>
      </c>
      <c r="Q13" s="43" t="s">
        <v>50</v>
      </c>
      <c r="R13" s="43"/>
      <c r="S13" s="43"/>
      <c r="T13" s="43"/>
      <c r="U13" s="44"/>
    </row>
    <row r="14" spans="1:21" x14ac:dyDescent="0.25">
      <c r="A14" s="28"/>
      <c r="E14" s="29"/>
      <c r="I14" s="26"/>
    </row>
    <row r="15" spans="1:21" x14ac:dyDescent="0.25">
      <c r="A15" s="28"/>
      <c r="E15" s="29"/>
      <c r="I15" s="26"/>
    </row>
    <row r="16" spans="1:21" x14ac:dyDescent="0.25">
      <c r="A16" s="28"/>
      <c r="E16" s="29"/>
      <c r="I16" s="26"/>
    </row>
    <row r="17" spans="1:9" x14ac:dyDescent="0.25">
      <c r="A17" s="28"/>
      <c r="E17" s="29"/>
      <c r="I17" s="26"/>
    </row>
    <row r="18" spans="1:9" x14ac:dyDescent="0.25">
      <c r="A18" s="28"/>
      <c r="E18" s="29"/>
      <c r="I1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 PM from 3-yr Step 2 delay</vt:lpstr>
      <vt:lpstr>Est health impacts 3-yr delay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Baumgart-Getz, Adam</dc:creator>
  <cp:lastModifiedBy>Paul Miller</cp:lastModifiedBy>
  <dcterms:created xsi:type="dcterms:W3CDTF">2017-12-06T20:36:33Z</dcterms:created>
  <dcterms:modified xsi:type="dcterms:W3CDTF">2018-10-02T17:43:12Z</dcterms:modified>
</cp:coreProperties>
</file>